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7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state="hidden" r:id="rId8"/>
    <sheet name="Item9" sheetId="11" state="hidden" r:id="rId9"/>
    <sheet name="Item10" sheetId="12" state="hidden" r:id="rId10"/>
    <sheet name="Item11" sheetId="13" state="hidden" r:id="rId11"/>
    <sheet name="Item12" sheetId="14" state="hidden" r:id="rId12"/>
    <sheet name="Item13" sheetId="15" state="hidden" r:id="rId13"/>
    <sheet name="Item14" sheetId="16" state="hidden" r:id="rId14"/>
    <sheet name="Item15" sheetId="17" state="hidden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Item21" sheetId="24" state="hidden" r:id="rId21"/>
    <sheet name="Item22" sheetId="25" state="hidden" r:id="rId22"/>
    <sheet name="Item23" sheetId="26" state="hidden" r:id="rId23"/>
    <sheet name="Item24" sheetId="27" state="hidden" r:id="rId24"/>
    <sheet name="Item25" sheetId="28" state="hidden" r:id="rId25"/>
    <sheet name="Item26" sheetId="29" state="hidden" r:id="rId26"/>
    <sheet name="Item27" sheetId="30" state="hidden" r:id="rId27"/>
    <sheet name="total" sheetId="23" r:id="rId28"/>
  </sheets>
  <definedNames>
    <definedName name="_xlnm.Print_Area" localSheetId="27">total!$A$1:$G$12</definedName>
    <definedName name="_xlnm.Print_Titles" localSheetId="27">total!$1:$2</definedName>
  </definedNames>
  <calcPr calcId="145621"/>
</workbook>
</file>

<file path=xl/calcChain.xml><?xml version="1.0" encoding="utf-8"?>
<calcChain xmlns="http://schemas.openxmlformats.org/spreadsheetml/2006/main">
  <c r="H5" i="9" l="1"/>
  <c r="H5" i="7"/>
  <c r="H5" i="6"/>
  <c r="H6" i="5"/>
  <c r="H5" i="4"/>
  <c r="H6" i="1"/>
  <c r="H3" i="9" l="1"/>
  <c r="H4" i="7"/>
  <c r="H3" i="7"/>
  <c r="H4" i="6"/>
  <c r="H3" i="6"/>
  <c r="H4" i="5"/>
  <c r="H3" i="5"/>
  <c r="H4" i="4"/>
  <c r="H3" i="4"/>
  <c r="H4" i="1"/>
  <c r="H3" i="1"/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14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H22" i="28" s="1"/>
  <c r="H23" i="28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5" i="9" s="1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11" i="9"/>
  <c r="I17" i="9"/>
  <c r="I15" i="6"/>
  <c r="I14" i="6"/>
  <c r="I7" i="6"/>
  <c r="I17" i="6"/>
  <c r="I16" i="6"/>
  <c r="I12" i="6"/>
  <c r="I12" i="5"/>
  <c r="I17" i="5"/>
  <c r="I16" i="5"/>
  <c r="I15" i="5"/>
  <c r="I14" i="5"/>
  <c r="A20" i="4"/>
  <c r="C20" i="4" s="1"/>
  <c r="C20" i="1"/>
  <c r="I3" i="9" l="1"/>
  <c r="I6" i="6"/>
  <c r="I7" i="8"/>
  <c r="I3" i="6"/>
  <c r="I5" i="6"/>
  <c r="I13" i="5"/>
  <c r="I11" i="5"/>
  <c r="I12" i="9"/>
  <c r="I8" i="9"/>
  <c r="I8" i="5"/>
  <c r="I6" i="16"/>
  <c r="E20" i="14"/>
  <c r="E3" i="14" s="1"/>
  <c r="I6" i="9"/>
  <c r="E20" i="24"/>
  <c r="E3" i="24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E20" i="9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2" l="1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3" i="16"/>
  <c r="F19" i="23" s="1"/>
  <c r="H22" i="12"/>
  <c r="H23" i="12" s="1"/>
  <c r="E3" i="12"/>
  <c r="E20" i="5"/>
  <c r="E3" i="5" s="1"/>
  <c r="F5" i="23" s="1"/>
  <c r="G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5"/>
  <c r="H22" i="15" s="1"/>
  <c r="H23" i="15" s="1"/>
  <c r="E20" i="13"/>
  <c r="E3" i="13" s="1"/>
  <c r="E20" i="11"/>
  <c r="H22" i="11" s="1"/>
  <c r="H23" i="11" s="1"/>
  <c r="E20" i="10"/>
  <c r="H22" i="10" s="1"/>
  <c r="H23" i="10" s="1"/>
  <c r="E3" i="9"/>
  <c r="F9" i="23" s="1"/>
  <c r="G9" i="23" s="1"/>
  <c r="E20" i="7"/>
  <c r="E20" i="4"/>
  <c r="E3" i="4" s="1"/>
  <c r="F4" i="23" s="1"/>
  <c r="G4" i="23" s="1"/>
  <c r="E20" i="17"/>
  <c r="E20" i="1"/>
  <c r="E3" i="6" l="1"/>
  <c r="F6" i="23" s="1"/>
  <c r="G6" i="23" s="1"/>
  <c r="E3" i="20"/>
  <c r="E3" i="8"/>
  <c r="F8" i="23" s="1"/>
  <c r="G8" i="23" s="1"/>
  <c r="F18" i="23"/>
  <c r="E3" i="21"/>
  <c r="E3" i="19"/>
  <c r="E3" i="15"/>
  <c r="H22" i="13"/>
  <c r="H23" i="13" s="1"/>
  <c r="E3" i="10"/>
  <c r="H22" i="5"/>
  <c r="H23" i="5" s="1"/>
  <c r="H22" i="4"/>
  <c r="H23" i="4" s="1"/>
  <c r="E3" i="11"/>
  <c r="H22" i="7"/>
  <c r="H23" i="7" s="1"/>
  <c r="E3" i="7"/>
  <c r="F7" i="23" s="1"/>
  <c r="G7" i="23" s="1"/>
  <c r="H22" i="17"/>
  <c r="H23" i="17" s="1"/>
  <c r="E3" i="17"/>
  <c r="E3" i="1"/>
  <c r="F3" i="23" s="1"/>
  <c r="G3" i="23" s="1"/>
  <c r="H22" i="1"/>
  <c r="H23" i="1" s="1"/>
  <c r="F17" i="23" l="1"/>
  <c r="F16" i="23"/>
  <c r="F12" i="23"/>
</calcChain>
</file>

<file path=xl/sharedStrings.xml><?xml version="1.0" encoding="utf-8"?>
<sst xmlns="http://schemas.openxmlformats.org/spreadsheetml/2006/main" count="849" uniqueCount="117">
  <si>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</si>
  <si>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</si>
  <si>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</si>
  <si>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</si>
  <si>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</si>
  <si>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</si>
  <si>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</si>
  <si>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</si>
  <si>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</si>
  <si>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</si>
  <si>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</si>
  <si>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</si>
  <si>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</si>
  <si>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</si>
  <si>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</si>
  <si>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</si>
  <si>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</si>
  <si>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</si>
  <si>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</si>
  <si>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</si>
  <si>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</si>
  <si>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</si>
  <si>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</si>
  <si>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</si>
  <si>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</si>
  <si>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</si>
  <si>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</si>
  <si>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</si>
  <si>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</si>
  <si>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</si>
  <si>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</si>
  <si>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</si>
  <si>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</si>
  <si>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</si>
  <si>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</si>
  <si>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</si>
  <si>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</si>
  <si>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</si>
  <si>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</si>
  <si>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</si>
  <si>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</si>
  <si>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</si>
  <si>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</si>
  <si>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</si>
  <si>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</si>
  <si>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</si>
  <si>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</si>
  <si>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</si>
  <si>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</si>
  <si>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</si>
  <si>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</si>
  <si>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</si>
  <si>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</si>
  <si>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</si>
  <si>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</si>
  <si>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</si>
  <si>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</si>
  <si>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</si>
  <si>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</si>
  <si>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</si>
  <si>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</si>
  <si>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</si>
  <si>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</si>
  <si>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</si>
  <si>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</si>
  <si>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</si>
  <si>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</si>
  <si>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</si>
  <si>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</si>
  <si>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</si>
  <si>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</si>
  <si>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</si>
  <si>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</si>
  <si>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</si>
  <si>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</si>
  <si>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</si>
  <si>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</si>
  <si>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</si>
  <si>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</si>
  <si>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</si>
  <si>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</si>
  <si>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</si>
  <si>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</si>
  <si>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</si>
  <si>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</si>
  <si>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</si>
  <si>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</si>
  <si>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</si>
  <si>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</si>
  <si>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</si>
  <si>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</si>
  <si>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</si>
  <si>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t>
  </si>
  <si>
    <t>TECNO2000 INDÚSTRIA E COMÉRCIO LTDA</t>
  </si>
  <si>
    <t>PE3/2023-MIN DEFESA DF- ITEM2-METAFLEX (atualizada)</t>
  </si>
  <si>
    <t>PE6/2022-Min Def PLANALTO- ITEM39-1º-MILANFLEX (atualizada)</t>
  </si>
  <si>
    <t>PE01/2023-MIN FAZ - SUPERINT ADM ACRE-item19-1º ASTA MOBILIAR MOVEIS (atualizada)</t>
  </si>
  <si>
    <t>PE01/2023-MIN FAZ - SUPERINT ADM ACRE-item19-2º MOVESC COMERCIO (atualizada)</t>
  </si>
  <si>
    <t>Confecção de placa em Poliestireno ou PVC expandido, com 0,3 cm de espessura, nas dimensões de 15x15 cm, na cor branca e pictograma/dizeres em vinil calandrado nas cores branca, sobre fundo em vinil calandrado na cor azul. Moldura em vinil calandrado na cor branca.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t>
  </si>
  <si>
    <t>Confecção de placa em Poliestireno ou PVC expandido, com 0,3 cm de espessura, nas dimensões de 15x6 cm, na cor branca e pictograma/dizeres em vinil calandrado nas cores branca, sobre fundo em vinil calandrado na cor azul. Moldura em vinil calandrado na cor branca.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t>
  </si>
  <si>
    <t>Confecção de placa em Poliestireno ou PVC expandido, com 0,3 cm de espessura, nas dimensões de 15x30 cm, na cor branca e pictograma/dizeres em vinil calandrado nas cores branca, sobre fundo em vinil calandrado na cor azul. Moldura em vinil calandrado na cor branca.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t>
  </si>
  <si>
    <t>Confecção de placa em Poliestireno ou PVC expandido, com 0,3 cm de espessura, nas dimensões de 30x60 cm, na cor branca e pictograma/dizeres em vinil calandrado nas cores branca, sobre fundo em vinil calandrado na cor azul. Moldura em vinil calandrado na cor branca.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t>
  </si>
  <si>
    <t>Confecção de placa em Poliestireno ou PVC expandido, com 0,3 cm de espessura, nas dimensões de 100x60 cm, na cor branca e pictograma/dizeres em vinil calandrado nas cores branca, sobre fundo em vinil calandrado na cor azul. Moldura em vinil calandrado na cor branca.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t>
  </si>
  <si>
    <t>Confecção de placa em PVC expandido, antichamas, com 2 mm de espessura, nas dimensões de 12x24 cm, cor de fundo verde, fotoluminescente, confeccionada conforme NBR 13434 (sinalização de segurança contra incêndio e pânico – símbolos e suas formas dimensões e pânico), com fita dupla face. Apropriada para sinalização de rota de fuga.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t>
  </si>
  <si>
    <t>Confecção de placa em alumínio composto, medindo (2,06x0,75)m, fundo branco, com gravação das letras em baixo-relevo na cor preta, gravadas através do processo de router (fresa) e Brasão da República impresso em adesivo leitoso colorido de alta resolução com aplicação em verniz. Com borda de 5 cm na cor preta. Com perfil de alumínio em U de 5 cm em volta da extremidade do fundo da placa para melhor fixação. Com 4 furações nas extremidades. Deverão ser fornecidos os 4 parafusos necessários para a fixação em parede de alvenaria.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t>
  </si>
  <si>
    <t>n/a</t>
  </si>
  <si>
    <t>CIPRIANI IMPORTACAO E EXPORTACAO LTDA</t>
  </si>
  <si>
    <t>GUERRA COMERCIO E SERVICOS LTDA</t>
  </si>
  <si>
    <t>CLAUDIO EXTINTORES LTDA</t>
  </si>
  <si>
    <t>AZALINI SINALIZACAO LTDA</t>
  </si>
  <si>
    <t>GRAFICA REAL PRINT LTDA</t>
  </si>
  <si>
    <t>39.673.733 MARIA OLIVA COTIAS DOS SANTOS</t>
  </si>
  <si>
    <t>TRITON ENGENHARIA LTDA</t>
  </si>
  <si>
    <t>GAVA IMPRESSAO DIGITAL LTDA</t>
  </si>
  <si>
    <t>RAQUEL CARDOSO DIAS PENHA</t>
  </si>
  <si>
    <t>FGS COMERCIAL LTDA</t>
  </si>
  <si>
    <t xml:space="preserve">JUSTINO DAVINO PERES EPP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</si>
</sst>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</v>
      </c>
      <c r="B3" s="34" t="s">
        <v>98</v>
      </c>
      <c r="C3" s="36" t="s">
        <v>7</v>
      </c>
      <c r="D3" s="36">
        <v>200</v>
      </c>
      <c r="E3" s="37">
        <f>IF(C20&lt;=25%,D20,MIN(E20:F20))</f>
        <v>7.89</v>
      </c>
      <c r="F3" s="37">
        <f>MIN(H3:H17)</f>
        <v>5.7757499999999995</v>
      </c>
      <c r="G3" s="5" t="s">
        <v>106</v>
      </c>
      <c r="H3" s="16">
        <f>0.15*0.15*298</f>
        <v>6.7050000000000001</v>
      </c>
      <c r="I3" s="17">
        <f>IF(H3="","",(IF($C$20&lt;25%,"n/a",IF(H3&lt;=($D$20+$A$20),H3,"Descartado"))))</f>
        <v>6.7050000000000001</v>
      </c>
    </row>
    <row r="4" spans="1:9" x14ac:dyDescent="0.25">
      <c r="A4" s="38"/>
      <c r="B4" s="35"/>
      <c r="C4" s="36"/>
      <c r="D4" s="36"/>
      <c r="E4" s="37"/>
      <c r="F4" s="37"/>
      <c r="G4" s="5" t="s">
        <v>107</v>
      </c>
      <c r="H4" s="16">
        <f>0.15*0.15*409</f>
        <v>9.2024999999999988</v>
      </c>
      <c r="I4" s="17">
        <f t="shared" ref="I4:I17" si="0">IF(H4="","",(IF($C$20&lt;25%,"n/a",IF(H4&lt;=($D$20+$A$20),H4,"Descartado"))))</f>
        <v>9.2024999999999988</v>
      </c>
    </row>
    <row r="5" spans="1:9" x14ac:dyDescent="0.25">
      <c r="A5" s="38"/>
      <c r="B5" s="35"/>
      <c r="C5" s="36"/>
      <c r="D5" s="36"/>
      <c r="E5" s="37"/>
      <c r="F5" s="37"/>
      <c r="G5" s="5" t="s">
        <v>109</v>
      </c>
      <c r="H5" s="16">
        <v>40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110</v>
      </c>
      <c r="H6" s="16">
        <f>0.15*0.15*256.7</f>
        <v>5.7757499999999995</v>
      </c>
      <c r="I6" s="17">
        <f t="shared" si="0"/>
        <v>5.7757499999999995</v>
      </c>
    </row>
    <row r="7" spans="1:9" x14ac:dyDescent="0.25">
      <c r="A7" s="38"/>
      <c r="B7" s="35"/>
      <c r="C7" s="36"/>
      <c r="D7" s="36"/>
      <c r="E7" s="37"/>
      <c r="F7" s="37"/>
      <c r="G7" s="5" t="s">
        <v>113</v>
      </c>
      <c r="H7" s="16">
        <v>9.89</v>
      </c>
      <c r="I7" s="17">
        <f t="shared" si="0"/>
        <v>9.89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14.459152777739087</v>
      </c>
      <c r="B20" s="8">
        <f>COUNT(H3:H17)</f>
        <v>5</v>
      </c>
      <c r="C20" s="9">
        <f>IF(B20&lt;2,"n/a",(A20/D20))</f>
        <v>1.0104229753835841</v>
      </c>
      <c r="D20" s="10">
        <f>IFERROR(ROUND(AVERAGE(H3:H17),2),"")</f>
        <v>14.31</v>
      </c>
      <c r="E20" s="15">
        <f>IFERROR(ROUND(IF(B20&lt;2,"n/a",(IF(C20&lt;=25%,"n/a",AVERAGE(I3:I17)))),2),"n/a")</f>
        <v>7.89</v>
      </c>
      <c r="F20" s="10">
        <f>IFERROR(ROUND(MEDIAN(H3:H17),2),"")</f>
        <v>9.1999999999999993</v>
      </c>
      <c r="G20" s="11" t="str">
        <f>IFERROR(INDEX(G3:G17,MATCH(H20,H3:H17,0)),"")</f>
        <v>GRAFICA REAL PRINT LTDA</v>
      </c>
      <c r="H20" s="12">
        <f>F3</f>
        <v>5.7757499999999995</v>
      </c>
    </row>
    <row r="22" spans="1:9" x14ac:dyDescent="0.25">
      <c r="G22" s="13" t="s">
        <v>20</v>
      </c>
      <c r="H22" s="14">
        <f>IF(C20&lt;=25%,D20,MIN(E20:F20))</f>
        <v>7.89</v>
      </c>
    </row>
    <row r="23" spans="1:9" x14ac:dyDescent="0.25">
      <c r="G23" s="13" t="s">
        <v>6</v>
      </c>
      <c r="H23" s="14">
        <f>ROUND(H22,2)*D3</f>
        <v>1578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10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11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12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15</v>
      </c>
      <c r="B3" s="34" t="s">
        <v>92</v>
      </c>
      <c r="C3" s="36" t="s">
        <v>7</v>
      </c>
      <c r="D3" s="36"/>
      <c r="E3" s="37">
        <f>IF(C20&lt;=25%,D20,MIN(E20:F20))</f>
        <v>4065.18</v>
      </c>
      <c r="F3" s="37">
        <f>MIN(H3:H17)</f>
        <v>2900</v>
      </c>
      <c r="G3" s="5" t="s">
        <v>93</v>
      </c>
      <c r="H3" s="16">
        <v>2900</v>
      </c>
      <c r="I3" s="17">
        <f>IF(H3="","",(IF($C$20&lt;25%,"n/a",IF(H3&lt;=($D$20+$A$20),H3,"Descartado"))))</f>
        <v>2900</v>
      </c>
    </row>
    <row r="4" spans="1:9" x14ac:dyDescent="0.25">
      <c r="A4" s="38"/>
      <c r="B4" s="35"/>
      <c r="C4" s="36"/>
      <c r="D4" s="36"/>
      <c r="E4" s="37"/>
      <c r="F4" s="37"/>
      <c r="G4" s="5" t="s">
        <v>94</v>
      </c>
      <c r="H4" s="16">
        <v>5006.71</v>
      </c>
      <c r="I4" s="17">
        <f t="shared" ref="I4:I17" si="0">IF(H4="","",(IF($C$20&lt;25%,"n/a",IF(H4&lt;=($D$20+$A$20),H4,"Descartado"))))</f>
        <v>5006.71</v>
      </c>
    </row>
    <row r="5" spans="1:9" x14ac:dyDescent="0.25">
      <c r="A5" s="38"/>
      <c r="B5" s="35"/>
      <c r="C5" s="36"/>
      <c r="D5" s="36"/>
      <c r="E5" s="37"/>
      <c r="F5" s="37"/>
      <c r="G5" s="5" t="s">
        <v>95</v>
      </c>
      <c r="H5" s="16">
        <v>2987.5</v>
      </c>
      <c r="I5" s="17">
        <f t="shared" si="0"/>
        <v>2987.5</v>
      </c>
    </row>
    <row r="6" spans="1:9" x14ac:dyDescent="0.25">
      <c r="A6" s="38"/>
      <c r="B6" s="35"/>
      <c r="C6" s="36"/>
      <c r="D6" s="36"/>
      <c r="E6" s="37"/>
      <c r="F6" s="37"/>
      <c r="G6" s="5" t="s">
        <v>96</v>
      </c>
      <c r="H6" s="16">
        <v>5366.52</v>
      </c>
      <c r="I6" s="17">
        <f t="shared" si="0"/>
        <v>5366.52</v>
      </c>
    </row>
    <row r="7" spans="1:9" x14ac:dyDescent="0.25">
      <c r="A7" s="38"/>
      <c r="B7" s="35"/>
      <c r="C7" s="36"/>
      <c r="D7" s="36"/>
      <c r="E7" s="37"/>
      <c r="F7" s="37"/>
      <c r="G7" s="5" t="s">
        <v>97</v>
      </c>
      <c r="H7" s="16">
        <v>5847.17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1381.9720249882039</v>
      </c>
      <c r="B20" s="8">
        <f>COUNT(H3:H17)</f>
        <v>5</v>
      </c>
      <c r="C20" s="9">
        <f>IF(B20&lt;2,"n/a",(A20/D20))</f>
        <v>0.31255162746986459</v>
      </c>
      <c r="D20" s="10">
        <f>IFERROR(ROUND(AVERAGE(H3:H17),2),"")</f>
        <v>4421.58</v>
      </c>
      <c r="E20" s="15">
        <f>IFERROR(ROUND(IF(B20&lt;2,"n/a",(IF(C20&lt;=25%,"n/a",AVERAGE(I3:I17)))),2),"n/a")</f>
        <v>4065.18</v>
      </c>
      <c r="F20" s="10">
        <f>IFERROR(ROUND(MEDIAN(H3:H17),2),"")</f>
        <v>5006.71</v>
      </c>
      <c r="G20" s="11" t="str">
        <f>IFERROR(INDEX(G3:G17,MATCH(H20,H3:H17,0)),"")</f>
        <v>TECNO2000 INDÚSTRIA E COMÉRCIO LTDA</v>
      </c>
      <c r="H20" s="12">
        <f>F3</f>
        <v>2900</v>
      </c>
    </row>
    <row r="22" spans="1:9" x14ac:dyDescent="0.25">
      <c r="G22" s="13" t="s">
        <v>20</v>
      </c>
      <c r="H22" s="14">
        <f>IF(C20&lt;=25%,D20,MIN(E20:F20))</f>
        <v>4065.18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16</v>
      </c>
      <c r="B3" s="34" t="s">
        <v>55</v>
      </c>
      <c r="C3" s="36" t="s">
        <v>7</v>
      </c>
      <c r="D3" s="36">
        <v>1000</v>
      </c>
      <c r="E3" s="37">
        <f>IF(C20&lt;=25%,D20,MIN(E20:F20))</f>
        <v>4.68</v>
      </c>
      <c r="F3" s="37">
        <f>MIN(H3:H17)</f>
        <v>3.57</v>
      </c>
      <c r="G3" s="5" t="s">
        <v>65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38"/>
      <c r="B4" s="35"/>
      <c r="C4" s="36"/>
      <c r="D4" s="36"/>
      <c r="E4" s="37"/>
      <c r="F4" s="37"/>
      <c r="G4" s="5" t="s">
        <v>66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38"/>
      <c r="B5" s="35"/>
      <c r="C5" s="36"/>
      <c r="D5" s="36"/>
      <c r="E5" s="37"/>
      <c r="F5" s="37"/>
      <c r="G5" s="5" t="s">
        <v>67</v>
      </c>
      <c r="H5" s="16">
        <v>6.79</v>
      </c>
      <c r="I5" s="17">
        <f t="shared" si="0"/>
        <v>6.79</v>
      </c>
    </row>
    <row r="6" spans="1:9" x14ac:dyDescent="0.25">
      <c r="A6" s="38"/>
      <c r="B6" s="35"/>
      <c r="C6" s="36"/>
      <c r="D6" s="36"/>
      <c r="E6" s="37"/>
      <c r="F6" s="37"/>
      <c r="G6" s="5" t="s">
        <v>68</v>
      </c>
      <c r="H6" s="16">
        <v>17.46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17</v>
      </c>
      <c r="B3" s="34" t="s">
        <v>56</v>
      </c>
      <c r="C3" s="36" t="s">
        <v>57</v>
      </c>
      <c r="D3" s="36">
        <v>100</v>
      </c>
      <c r="E3" s="37">
        <f>IF(C20&lt;=25%,D20,MIN(E20:F20))</f>
        <v>112.83</v>
      </c>
      <c r="F3" s="37">
        <f>MIN(H3:H17)</f>
        <v>95.67</v>
      </c>
      <c r="G3" s="5" t="s">
        <v>69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8"/>
      <c r="B4" s="35"/>
      <c r="C4" s="36"/>
      <c r="D4" s="36"/>
      <c r="E4" s="37"/>
      <c r="F4" s="37"/>
      <c r="G4" s="5" t="s">
        <v>70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8"/>
      <c r="B5" s="35"/>
      <c r="C5" s="36"/>
      <c r="D5" s="36"/>
      <c r="E5" s="37"/>
      <c r="F5" s="37"/>
      <c r="G5" s="5" t="s">
        <v>71</v>
      </c>
      <c r="H5" s="16">
        <v>543.89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18</v>
      </c>
      <c r="B3" s="34" t="s">
        <v>58</v>
      </c>
      <c r="C3" s="36" t="s">
        <v>59</v>
      </c>
      <c r="D3" s="36">
        <v>100</v>
      </c>
      <c r="E3" s="37">
        <f>IF(C20&lt;=25%,D20,MIN(E20:F20))</f>
        <v>83.03</v>
      </c>
      <c r="F3" s="37">
        <f>MIN(H3:H17)</f>
        <v>45</v>
      </c>
      <c r="G3" s="5" t="s">
        <v>72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8"/>
      <c r="B4" s="35"/>
      <c r="C4" s="36"/>
      <c r="D4" s="36"/>
      <c r="E4" s="37"/>
      <c r="F4" s="37"/>
      <c r="G4" s="5" t="s">
        <v>73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8"/>
      <c r="B5" s="35"/>
      <c r="C5" s="36"/>
      <c r="D5" s="36"/>
      <c r="E5" s="37"/>
      <c r="F5" s="37"/>
      <c r="G5" s="5" t="s">
        <v>74</v>
      </c>
      <c r="H5" s="16">
        <v>45</v>
      </c>
      <c r="I5" s="17">
        <f t="shared" si="0"/>
        <v>45</v>
      </c>
    </row>
    <row r="6" spans="1:9" x14ac:dyDescent="0.25">
      <c r="A6" s="38"/>
      <c r="B6" s="35"/>
      <c r="C6" s="36"/>
      <c r="D6" s="36"/>
      <c r="E6" s="37"/>
      <c r="F6" s="37"/>
      <c r="G6" s="5" t="s">
        <v>75</v>
      </c>
      <c r="H6" s="16">
        <v>67.25</v>
      </c>
      <c r="I6" s="17">
        <f t="shared" si="0"/>
        <v>67.25</v>
      </c>
    </row>
    <row r="7" spans="1:9" x14ac:dyDescent="0.25">
      <c r="A7" s="38"/>
      <c r="B7" s="35"/>
      <c r="C7" s="36"/>
      <c r="D7" s="36"/>
      <c r="E7" s="37"/>
      <c r="F7" s="37"/>
      <c r="G7" s="5" t="s">
        <v>76</v>
      </c>
      <c r="H7" s="16">
        <v>91.8</v>
      </c>
      <c r="I7" s="17">
        <f t="shared" si="0"/>
        <v>91.8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19</v>
      </c>
      <c r="B3" s="34" t="s">
        <v>61</v>
      </c>
      <c r="C3" s="36" t="s">
        <v>7</v>
      </c>
      <c r="D3" s="36">
        <v>50</v>
      </c>
      <c r="E3" s="37">
        <f>IF(C20&lt;=25%,D20,MIN(E20:F20))</f>
        <v>68.7</v>
      </c>
      <c r="F3" s="37">
        <f>MIN(H3:H17)</f>
        <v>58.5</v>
      </c>
      <c r="G3" s="5" t="s">
        <v>77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79</v>
      </c>
      <c r="H5" s="16">
        <v>85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</v>
      </c>
      <c r="B3" s="34" t="s">
        <v>99</v>
      </c>
      <c r="C3" s="36" t="s">
        <v>7</v>
      </c>
      <c r="D3" s="36">
        <v>100</v>
      </c>
      <c r="E3" s="37">
        <f>IF(C20&lt;=25%,D20,MIN(E20:F20))</f>
        <v>2.89</v>
      </c>
      <c r="F3" s="37">
        <f>MIN(H3:H17)</f>
        <v>2.3102999999999998</v>
      </c>
      <c r="G3" s="5" t="s">
        <v>106</v>
      </c>
      <c r="H3" s="16">
        <f>0.15*0.06*298</f>
        <v>2.6819999999999999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107</v>
      </c>
      <c r="H4" s="16">
        <f>0.15*0.06*409</f>
        <v>3.6809999999999996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110</v>
      </c>
      <c r="H5" s="16">
        <f>0.15*0.06*256.7</f>
        <v>2.3102999999999998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0.70887003745397559</v>
      </c>
      <c r="B20" s="8">
        <f>COUNT(H3:H17)</f>
        <v>3</v>
      </c>
      <c r="C20" s="9">
        <f>IF(B20&lt;2,"n/a",(A20/D20))</f>
        <v>0.24528374998407459</v>
      </c>
      <c r="D20" s="10">
        <f>IFERROR(ROUND(AVERAGE(H3:H17),2),"")</f>
        <v>2.89</v>
      </c>
      <c r="E20" s="15" t="str">
        <f>IFERROR(ROUND(IF(B20&lt;2,"n/a",(IF(C20&lt;=25%,"n/a",AVERAGE(I3:I17)))),2),"n/a")</f>
        <v>n/a</v>
      </c>
      <c r="F20" s="10">
        <f>IFERROR(ROUND(MEDIAN(H3:H17),2),"")</f>
        <v>2.68</v>
      </c>
      <c r="G20" s="11" t="str">
        <f>IFERROR(INDEX(G3:G17,MATCH(H20,H3:H17,0)),"")</f>
        <v>GRAFICA REAL PRINT LTDA</v>
      </c>
      <c r="H20" s="12">
        <f>F3</f>
        <v>2.3102999999999998</v>
      </c>
    </row>
    <row r="22" spans="1:9" x14ac:dyDescent="0.25">
      <c r="G22" s="13" t="s">
        <v>20</v>
      </c>
      <c r="H22" s="14">
        <f>IF(C20&lt;=25%,D20,MIN(E20:F20))</f>
        <v>2.89</v>
      </c>
    </row>
    <row r="23" spans="1:9" x14ac:dyDescent="0.25">
      <c r="G23" s="13" t="s">
        <v>6</v>
      </c>
      <c r="H23" s="14">
        <f>ROUND(H22,2)*D3</f>
        <v>289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20</v>
      </c>
      <c r="B3" s="34" t="s">
        <v>62</v>
      </c>
      <c r="C3" s="36" t="s">
        <v>60</v>
      </c>
      <c r="D3" s="36">
        <v>50</v>
      </c>
      <c r="E3" s="37">
        <f>IF(C20&lt;=25%,D20,MIN(E20:F20))</f>
        <v>169.47</v>
      </c>
      <c r="F3" s="37">
        <f>MIN(H3:H17)</f>
        <v>53.9</v>
      </c>
      <c r="G3" s="5" t="s">
        <v>80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8"/>
      <c r="B4" s="35"/>
      <c r="C4" s="36"/>
      <c r="D4" s="36"/>
      <c r="E4" s="37"/>
      <c r="F4" s="37"/>
      <c r="G4" s="5" t="s">
        <v>81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8"/>
      <c r="B5" s="35"/>
      <c r="C5" s="36"/>
      <c r="D5" s="36"/>
      <c r="E5" s="37"/>
      <c r="F5" s="37"/>
      <c r="G5" s="5" t="s">
        <v>82</v>
      </c>
      <c r="H5" s="16">
        <v>340</v>
      </c>
      <c r="I5" s="17">
        <f t="shared" si="0"/>
        <v>340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489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21</v>
      </c>
      <c r="B3" s="34" t="s">
        <v>63</v>
      </c>
      <c r="C3" s="36" t="s">
        <v>60</v>
      </c>
      <c r="D3" s="36">
        <v>50</v>
      </c>
      <c r="E3" s="37">
        <f>IF(C20&lt;=25%,D20,MIN(E20:F20))</f>
        <v>203.92</v>
      </c>
      <c r="F3" s="37">
        <f>MIN(H3:H17)</f>
        <v>108.9</v>
      </c>
      <c r="G3" s="5" t="s">
        <v>84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8"/>
      <c r="B4" s="35"/>
      <c r="C4" s="36"/>
      <c r="D4" s="36"/>
      <c r="E4" s="37"/>
      <c r="F4" s="37"/>
      <c r="G4" s="5" t="s">
        <v>85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8"/>
      <c r="B5" s="35"/>
      <c r="C5" s="36"/>
      <c r="D5" s="36"/>
      <c r="E5" s="37"/>
      <c r="F5" s="37"/>
      <c r="G5" s="5" t="s">
        <v>86</v>
      </c>
      <c r="H5" s="16">
        <v>307.89999999999998</v>
      </c>
      <c r="I5" s="17">
        <f t="shared" si="0"/>
        <v>307.89999999999998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259.89999999999998</v>
      </c>
      <c r="I6" s="17">
        <f t="shared" si="0"/>
        <v>259.89999999999998</v>
      </c>
    </row>
    <row r="7" spans="1:9" x14ac:dyDescent="0.25">
      <c r="A7" s="38"/>
      <c r="B7" s="35"/>
      <c r="C7" s="36"/>
      <c r="D7" s="36"/>
      <c r="E7" s="37"/>
      <c r="F7" s="37"/>
      <c r="G7" s="5" t="s">
        <v>87</v>
      </c>
      <c r="H7" s="16">
        <v>379.9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22</v>
      </c>
      <c r="B3" s="34" t="s">
        <v>64</v>
      </c>
      <c r="C3" s="36" t="s">
        <v>57</v>
      </c>
      <c r="D3" s="36">
        <v>100</v>
      </c>
      <c r="E3" s="37">
        <f>IF(C20&lt;=25%,D20,MIN(E20:F20))</f>
        <v>64.989999999999995</v>
      </c>
      <c r="F3" s="37">
        <f>MIN(H3:H17)</f>
        <v>30.8</v>
      </c>
      <c r="G3" s="5" t="s">
        <v>88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8"/>
      <c r="B5" s="35"/>
      <c r="C5" s="36"/>
      <c r="D5" s="36"/>
      <c r="E5" s="37"/>
      <c r="F5" s="37"/>
      <c r="G5" s="5" t="s">
        <v>89</v>
      </c>
      <c r="H5" s="16">
        <v>83.25</v>
      </c>
      <c r="I5" s="17">
        <f t="shared" si="0"/>
        <v>83.25</v>
      </c>
    </row>
    <row r="6" spans="1:9" x14ac:dyDescent="0.25">
      <c r="A6" s="38"/>
      <c r="B6" s="35"/>
      <c r="C6" s="36"/>
      <c r="D6" s="36"/>
      <c r="E6" s="37"/>
      <c r="F6" s="37"/>
      <c r="G6" s="5" t="s">
        <v>90</v>
      </c>
      <c r="H6" s="16">
        <v>89.9</v>
      </c>
      <c r="I6" s="17">
        <f t="shared" si="0"/>
        <v>89.9</v>
      </c>
    </row>
    <row r="7" spans="1:9" x14ac:dyDescent="0.25">
      <c r="A7" s="38"/>
      <c r="B7" s="35"/>
      <c r="C7" s="36"/>
      <c r="D7" s="36"/>
      <c r="E7" s="37"/>
      <c r="F7" s="37"/>
      <c r="G7" s="5" t="s">
        <v>91</v>
      </c>
      <c r="H7" s="16">
        <v>122.9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25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26</v>
      </c>
      <c r="B3" s="34" t="s">
        <v>34</v>
      </c>
      <c r="C3" s="36" t="s">
        <v>7</v>
      </c>
      <c r="D3" s="36">
        <v>4</v>
      </c>
      <c r="E3" s="37">
        <f>IF(C20&lt;=25%,D20,MIN(E20:F20))</f>
        <v>314.5</v>
      </c>
      <c r="F3" s="37">
        <f>MIN(H3:H17)</f>
        <v>149.97</v>
      </c>
      <c r="G3" s="5" t="s">
        <v>42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36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8"/>
      <c r="B5" s="35"/>
      <c r="C5" s="36"/>
      <c r="D5" s="36"/>
      <c r="E5" s="37"/>
      <c r="F5" s="37"/>
      <c r="G5" s="5" t="s">
        <v>43</v>
      </c>
      <c r="H5" s="16">
        <v>330</v>
      </c>
      <c r="I5" s="17">
        <f t="shared" si="0"/>
        <v>330</v>
      </c>
    </row>
    <row r="6" spans="1:9" x14ac:dyDescent="0.25">
      <c r="A6" s="38"/>
      <c r="B6" s="35"/>
      <c r="C6" s="36"/>
      <c r="D6" s="36"/>
      <c r="E6" s="37"/>
      <c r="F6" s="37"/>
      <c r="G6" s="5" t="s">
        <v>38</v>
      </c>
      <c r="H6" s="16">
        <v>259</v>
      </c>
      <c r="I6" s="17">
        <f t="shared" si="0"/>
        <v>259</v>
      </c>
    </row>
    <row r="7" spans="1:9" x14ac:dyDescent="0.25">
      <c r="A7" s="38"/>
      <c r="B7" s="35"/>
      <c r="C7" s="36"/>
      <c r="D7" s="36"/>
      <c r="E7" s="37"/>
      <c r="F7" s="37"/>
      <c r="G7" s="5" t="s">
        <v>39</v>
      </c>
      <c r="H7" s="16">
        <v>1000</v>
      </c>
      <c r="I7" s="17">
        <f t="shared" si="0"/>
        <v>1000</v>
      </c>
    </row>
    <row r="8" spans="1:9" x14ac:dyDescent="0.25">
      <c r="A8" s="38"/>
      <c r="B8" s="35"/>
      <c r="C8" s="36"/>
      <c r="D8" s="36"/>
      <c r="E8" s="37"/>
      <c r="F8" s="37"/>
      <c r="G8" s="5" t="s">
        <v>44</v>
      </c>
      <c r="H8" s="16">
        <v>177.5</v>
      </c>
      <c r="I8" s="17">
        <f t="shared" si="0"/>
        <v>177.5</v>
      </c>
    </row>
    <row r="9" spans="1:9" x14ac:dyDescent="0.25">
      <c r="A9" s="38"/>
      <c r="B9" s="35"/>
      <c r="C9" s="36"/>
      <c r="D9" s="36"/>
      <c r="E9" s="37"/>
      <c r="F9" s="37"/>
      <c r="G9" s="5" t="s">
        <v>37</v>
      </c>
      <c r="H9" s="16">
        <v>160</v>
      </c>
      <c r="I9" s="17">
        <f t="shared" si="0"/>
        <v>160</v>
      </c>
    </row>
    <row r="10" spans="1:9" x14ac:dyDescent="0.25">
      <c r="A10" s="38"/>
      <c r="B10" s="35"/>
      <c r="C10" s="36"/>
      <c r="D10" s="36"/>
      <c r="E10" s="37"/>
      <c r="F10" s="37"/>
      <c r="G10" s="5" t="s">
        <v>45</v>
      </c>
      <c r="H10" s="16">
        <v>1342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46</v>
      </c>
      <c r="H11" s="16">
        <v>1650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41</v>
      </c>
      <c r="H12" s="16">
        <v>149.97</v>
      </c>
      <c r="I12" s="17">
        <f t="shared" si="0"/>
        <v>149.97</v>
      </c>
    </row>
    <row r="13" spans="1:9" x14ac:dyDescent="0.25">
      <c r="A13" s="38"/>
      <c r="B13" s="35"/>
      <c r="C13" s="36"/>
      <c r="D13" s="36"/>
      <c r="E13" s="37"/>
      <c r="F13" s="37"/>
      <c r="G13" s="5" t="s">
        <v>51</v>
      </c>
      <c r="H13" s="16">
        <v>299</v>
      </c>
      <c r="I13" s="17">
        <f t="shared" si="0"/>
        <v>299</v>
      </c>
    </row>
    <row r="14" spans="1:9" x14ac:dyDescent="0.25">
      <c r="A14" s="38"/>
      <c r="B14" s="35"/>
      <c r="C14" s="36"/>
      <c r="D14" s="36"/>
      <c r="E14" s="37"/>
      <c r="F14" s="37"/>
      <c r="G14" s="5" t="s">
        <v>53</v>
      </c>
      <c r="H14" s="16">
        <v>341.01</v>
      </c>
      <c r="I14" s="17">
        <f t="shared" si="0"/>
        <v>341.01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27</v>
      </c>
      <c r="B3" s="34" t="s">
        <v>35</v>
      </c>
      <c r="C3" s="36" t="s">
        <v>7</v>
      </c>
      <c r="D3" s="36">
        <v>2</v>
      </c>
      <c r="E3" s="37">
        <f>IF(C20&lt;=25%,D20,MIN(E20:F20))</f>
        <v>2336.66</v>
      </c>
      <c r="F3" s="37">
        <f>MIN(H3:H17)</f>
        <v>985</v>
      </c>
      <c r="G3" s="5" t="s">
        <v>43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8"/>
      <c r="B4" s="35"/>
      <c r="C4" s="36"/>
      <c r="D4" s="36"/>
      <c r="E4" s="37"/>
      <c r="F4" s="37"/>
      <c r="G4" s="5" t="s">
        <v>47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8"/>
      <c r="B5" s="35"/>
      <c r="C5" s="36"/>
      <c r="D5" s="36"/>
      <c r="E5" s="37"/>
      <c r="F5" s="37"/>
      <c r="G5" s="5" t="s">
        <v>48</v>
      </c>
      <c r="H5" s="16">
        <v>3775.12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36</v>
      </c>
      <c r="H6" s="16">
        <v>1449.99</v>
      </c>
      <c r="I6" s="17">
        <f t="shared" si="0"/>
        <v>1449.99</v>
      </c>
    </row>
    <row r="7" spans="1:9" x14ac:dyDescent="0.25">
      <c r="A7" s="38"/>
      <c r="B7" s="35"/>
      <c r="C7" s="36"/>
      <c r="D7" s="36"/>
      <c r="E7" s="37"/>
      <c r="F7" s="37"/>
      <c r="G7" s="5" t="s">
        <v>40</v>
      </c>
      <c r="H7" s="16">
        <v>1738.77</v>
      </c>
      <c r="I7" s="17">
        <f t="shared" si="0"/>
        <v>1738.77</v>
      </c>
    </row>
    <row r="8" spans="1:9" x14ac:dyDescent="0.25">
      <c r="A8" s="38"/>
      <c r="B8" s="35"/>
      <c r="C8" s="36"/>
      <c r="D8" s="36"/>
      <c r="E8" s="37"/>
      <c r="F8" s="37"/>
      <c r="G8" s="5" t="s">
        <v>49</v>
      </c>
      <c r="H8" s="16">
        <v>2582</v>
      </c>
      <c r="I8" s="17">
        <f t="shared" si="0"/>
        <v>2582</v>
      </c>
    </row>
    <row r="9" spans="1:9" x14ac:dyDescent="0.25">
      <c r="A9" s="38"/>
      <c r="B9" s="35"/>
      <c r="C9" s="36"/>
      <c r="D9" s="36"/>
      <c r="E9" s="37"/>
      <c r="F9" s="37"/>
      <c r="G9" s="5" t="s">
        <v>54</v>
      </c>
      <c r="H9" s="16">
        <v>3179.25</v>
      </c>
      <c r="I9" s="17">
        <f t="shared" si="0"/>
        <v>3179.25</v>
      </c>
    </row>
    <row r="10" spans="1:9" x14ac:dyDescent="0.25">
      <c r="A10" s="38"/>
      <c r="B10" s="35"/>
      <c r="C10" s="36"/>
      <c r="D10" s="36"/>
      <c r="E10" s="37"/>
      <c r="F10" s="37"/>
      <c r="G10" s="5" t="s">
        <v>50</v>
      </c>
      <c r="H10" s="16">
        <v>3484.8</v>
      </c>
      <c r="I10" s="17">
        <f t="shared" si="0"/>
        <v>3484.8</v>
      </c>
    </row>
    <row r="11" spans="1:9" x14ac:dyDescent="0.25">
      <c r="A11" s="38"/>
      <c r="B11" s="35"/>
      <c r="C11" s="36"/>
      <c r="D11" s="36"/>
      <c r="E11" s="37"/>
      <c r="F11" s="37"/>
      <c r="G11" s="5" t="s">
        <v>52</v>
      </c>
      <c r="H11" s="16">
        <v>3523.43</v>
      </c>
      <c r="I11" s="17">
        <f t="shared" si="0"/>
        <v>3523.43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topLeftCell="A6" zoomScaleNormal="100" zoomScaleSheetLayoutView="100" workbookViewId="0">
      <selection activeCell="L9" sqref="L9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9" t="s">
        <v>0</v>
      </c>
      <c r="B1" s="39"/>
      <c r="C1" s="39"/>
      <c r="D1" s="39"/>
      <c r="E1" s="39"/>
      <c r="F1" s="39"/>
      <c r="G1" s="39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225" x14ac:dyDescent="0.25">
      <c r="A3" s="25" t="s">
        <v>105</v>
      </c>
      <c r="B3" s="25">
        <f>Item1!A3</f>
        <v>1</v>
      </c>
      <c r="C3" s="27" t="str">
        <f>Item1!B3</f>
        <v>Confecção de placa em Poliestireno ou PVC expandido, com 0,3 cm de espessura, nas dimensões de 15x15 cm, na cor branca e pictograma/dizeres em vinil calandrado nas cores branca, sobre fundo em vinil calandrado na cor azul. Moldura em vinil calandrado na cor branca.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v>
      </c>
      <c r="D3" s="25" t="str">
        <f>Item1!C3</f>
        <v>unidade</v>
      </c>
      <c r="E3" s="25">
        <f>Item1!D3</f>
        <v>200</v>
      </c>
      <c r="F3" s="26">
        <f>Item1!E3</f>
        <v>7.89</v>
      </c>
      <c r="G3" s="26">
        <f>ROUND((E3*F3),2)</f>
        <v>1578</v>
      </c>
    </row>
    <row r="4" spans="1:7" ht="225" x14ac:dyDescent="0.25">
      <c r="A4" s="25" t="s">
        <v>105</v>
      </c>
      <c r="B4" s="25">
        <f>Item2!A3</f>
        <v>2</v>
      </c>
      <c r="C4" s="27" t="str">
        <f>Item2!B3</f>
        <v>Confecção de placa em Poliestireno ou PVC expandido, com 0,3 cm de espessura, nas dimensões de 15x6 cm, na cor branca e pictograma/dizeres em vinil calandrado nas cores branca, sobre fundo em vinil calandrado na cor azul. Moldura em vinil calandrado na cor branca.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v>
      </c>
      <c r="D4" s="25" t="str">
        <f>Item2!C3</f>
        <v>unidade</v>
      </c>
      <c r="E4" s="25">
        <f>Item2!D3</f>
        <v>100</v>
      </c>
      <c r="F4" s="26">
        <f>Item2!E3</f>
        <v>2.89</v>
      </c>
      <c r="G4" s="26">
        <f t="shared" ref="G4:G9" si="0">ROUND((E4*F4),2)</f>
        <v>289</v>
      </c>
    </row>
    <row r="5" spans="1:7" ht="225" x14ac:dyDescent="0.25">
      <c r="A5" s="25" t="s">
        <v>105</v>
      </c>
      <c r="B5" s="25">
        <f>Item3!A3</f>
        <v>3</v>
      </c>
      <c r="C5" s="27" t="str">
        <f>Item3!B3</f>
        <v>Confecção de placa em Poliestireno ou PVC expandido, com 0,3 cm de espessura, nas dimensões de 15x30 cm, na cor branca e pictograma/dizeres em vinil calandrado nas cores branca, sobre fundo em vinil calandrado na cor azul. Moldura em vinil calandrado na cor branca.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v>
      </c>
      <c r="D5" s="25" t="str">
        <f>Item3!C3</f>
        <v>unidade</v>
      </c>
      <c r="E5" s="25">
        <f>Item3!D3</f>
        <v>100</v>
      </c>
      <c r="F5" s="26">
        <f>Item3!E3</f>
        <v>12.34</v>
      </c>
      <c r="G5" s="26">
        <f t="shared" si="0"/>
        <v>1234</v>
      </c>
    </row>
    <row r="6" spans="1:7" ht="225" x14ac:dyDescent="0.25">
      <c r="A6" s="25" t="s">
        <v>105</v>
      </c>
      <c r="B6" s="25">
        <f>Item4!A3</f>
        <v>4</v>
      </c>
      <c r="C6" s="27" t="str">
        <f>Item4!B3</f>
        <v>Confecção de placa em Poliestireno ou PVC expandido, com 0,3 cm de espessura, nas dimensões de 30x60 cm, na cor branca e pictograma/dizeres em vinil calandrado nas cores branca, sobre fundo em vinil calandrado na cor azul. Moldura em vinil calandrado na cor branca.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v>
      </c>
      <c r="D6" s="25" t="str">
        <f>Item4!C3</f>
        <v>unidade</v>
      </c>
      <c r="E6" s="25">
        <f>Item4!D3</f>
        <v>100</v>
      </c>
      <c r="F6" s="26">
        <f>Item4!E3</f>
        <v>57.82</v>
      </c>
      <c r="G6" s="26">
        <f t="shared" si="0"/>
        <v>5782</v>
      </c>
    </row>
    <row r="7" spans="1:7" ht="225" x14ac:dyDescent="0.25">
      <c r="A7" s="25" t="s">
        <v>105</v>
      </c>
      <c r="B7" s="25">
        <f>Item5!A3</f>
        <v>5</v>
      </c>
      <c r="C7" s="27" t="str">
        <f>Item5!B3</f>
        <v>Confecção de placa em Poliestireno ou PVC expandido, com 0,3 cm de espessura, nas dimensões de 100x60 cm, na cor branca e pictograma/dizeres em vinil calandrado nas cores branca, sobre fundo em vinil calandrado na cor azul. Moldura em vinil calandrado na cor branca.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v>
      </c>
      <c r="D7" s="25" t="str">
        <f>Item5!C3</f>
        <v>unidade</v>
      </c>
      <c r="E7" s="25">
        <f>Item5!D3</f>
        <v>100</v>
      </c>
      <c r="F7" s="26">
        <f>Item5!E3</f>
        <v>192.74</v>
      </c>
      <c r="G7" s="26">
        <f t="shared" si="0"/>
        <v>19274</v>
      </c>
    </row>
    <row r="8" spans="1:7" ht="255" x14ac:dyDescent="0.25">
      <c r="A8" s="25" t="s">
        <v>105</v>
      </c>
      <c r="B8" s="25">
        <f>Item6!A3</f>
        <v>6</v>
      </c>
      <c r="C8" s="27" t="str">
        <f>Item6!B3</f>
        <v>Confecção de placa em PVC expandido, antichamas, com 2 mm de espessura, nas dimensões de 12x24 cm, cor de fundo verde, fotoluminescente, confeccionada conforme NBR 13434 (sinalização de segurança contra incêndio e pânico – símbolos e suas formas dimensões e pânico), com fita dupla face. Apropriada para sinalização de rota de fuga.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v>
      </c>
      <c r="D8" s="25" t="str">
        <f>Item6!C3</f>
        <v>unidade</v>
      </c>
      <c r="E8" s="25">
        <f>Item6!D3</f>
        <v>100</v>
      </c>
      <c r="F8" s="26">
        <f>Item6!E3</f>
        <v>10.06</v>
      </c>
      <c r="G8" s="26">
        <f t="shared" si="0"/>
        <v>1006</v>
      </c>
    </row>
    <row r="9" spans="1:7" ht="345" x14ac:dyDescent="0.25">
      <c r="A9" s="25" t="s">
        <v>105</v>
      </c>
      <c r="B9" s="25">
        <f>Item7!A3</f>
        <v>7</v>
      </c>
      <c r="C9" s="27" t="str">
        <f>Item7!B3</f>
        <v>Confecção de placa em alumínio composto, medindo (2,06x0,75)m, fundo branco, com gravação das letras em baixo-relevo na cor preta, gravadas através do processo de router (fresa) e Brasão da República impresso em adesivo leitoso colorido de alta resolução com aplicação em verniz. Com borda de 5 cm na cor preta. Com perfil de alumínio em U de 5 cm em volta da extremidade do fundo da placa para melhor fixação. Com 4 furações nas extremidades. Deverão ser fornecidos os 4 parafusos necessários para a fixação em parede de alvenaria. Com serviço de desenvolvimento e/ou alteração de arte por parte da contratada, que deve ser aprovada antes da impressão do material, a partir das diretrizes comunicadas pelo solicitante conforme item 3.2.5, bem como considerados os modelos referenciais do Anexo B deste Termo de Referência.</v>
      </c>
      <c r="D9" s="25" t="str">
        <f>Item7!C3</f>
        <v>unidade</v>
      </c>
      <c r="E9" s="25">
        <f>Item7!D3</f>
        <v>100</v>
      </c>
      <c r="F9" s="26">
        <f>Item7!E3</f>
        <v>897.65</v>
      </c>
      <c r="G9" s="26">
        <f t="shared" si="0"/>
        <v>89765</v>
      </c>
    </row>
    <row r="10" spans="1:7" x14ac:dyDescent="0.25">
      <c r="A10" s="28"/>
      <c r="B10" s="28"/>
      <c r="C10" s="29"/>
      <c r="D10" s="30"/>
      <c r="E10" s="30"/>
      <c r="F10" s="31"/>
      <c r="G10" s="31"/>
    </row>
    <row r="11" spans="1:7" ht="15.75" thickBot="1" x14ac:dyDescent="0.3"/>
    <row r="12" spans="1:7" ht="16.5" thickTop="1" thickBot="1" x14ac:dyDescent="0.3">
      <c r="D12" s="22"/>
      <c r="E12" s="23" t="s">
        <v>33</v>
      </c>
      <c r="F12" s="24">
        <f>SUM(G:G)</f>
        <v>118928</v>
      </c>
    </row>
    <row r="13" spans="1:7" ht="15.75" thickTop="1" x14ac:dyDescent="0.25">
      <c r="F13" s="3"/>
    </row>
    <row r="14" spans="1:7" x14ac:dyDescent="0.25">
      <c r="D14" s="21" t="s">
        <v>32</v>
      </c>
      <c r="E14" s="13">
        <f>MAX(A:A)</f>
        <v>0</v>
      </c>
    </row>
    <row r="16" spans="1:7" x14ac:dyDescent="0.25">
      <c r="D16" s="18" t="s">
        <v>31</v>
      </c>
      <c r="E16" s="19">
        <v>1</v>
      </c>
      <c r="F16" s="20">
        <f>SUMIF(A:A,E16,G:G)</f>
        <v>0</v>
      </c>
    </row>
    <row r="17" spans="4:6" x14ac:dyDescent="0.25">
      <c r="D17" s="18" t="s">
        <v>31</v>
      </c>
      <c r="E17" s="19">
        <v>2</v>
      </c>
      <c r="F17" s="20">
        <f>SUMIF(A:A,E17,G:G)</f>
        <v>0</v>
      </c>
    </row>
    <row r="18" spans="4:6" x14ac:dyDescent="0.25">
      <c r="D18" s="18" t="s">
        <v>31</v>
      </c>
      <c r="E18" s="19">
        <v>3</v>
      </c>
      <c r="F18" s="20">
        <f>SUMIF(A:A,E18,G:G)</f>
        <v>0</v>
      </c>
    </row>
    <row r="19" spans="4:6" x14ac:dyDescent="0.25">
      <c r="D19" s="18" t="s">
        <v>31</v>
      </c>
      <c r="E19" s="19">
        <v>4</v>
      </c>
      <c r="F19" s="20">
        <f>SUMIF(A:A,E19,G:G)</f>
        <v>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3</v>
      </c>
      <c r="B3" s="34" t="s">
        <v>100</v>
      </c>
      <c r="C3" s="36" t="s">
        <v>7</v>
      </c>
      <c r="D3" s="36">
        <v>100</v>
      </c>
      <c r="E3" s="37">
        <f>IF(C20&lt;=25%,D20,MIN(E20:F20))</f>
        <v>12.34</v>
      </c>
      <c r="F3" s="37">
        <f>MIN(H3:H17)</f>
        <v>5.99</v>
      </c>
      <c r="G3" s="5" t="s">
        <v>106</v>
      </c>
      <c r="H3" s="16">
        <f>0.15*0.3*298</f>
        <v>13.41</v>
      </c>
      <c r="I3" s="17">
        <f>IF(H3="","",(IF($C$20&lt;25%,"n/a",IF(H3&lt;=($D$20+$A$20),H3,"Descartado"))))</f>
        <v>13.41</v>
      </c>
    </row>
    <row r="4" spans="1:9" x14ac:dyDescent="0.25">
      <c r="A4" s="38"/>
      <c r="B4" s="35"/>
      <c r="C4" s="36"/>
      <c r="D4" s="36"/>
      <c r="E4" s="37"/>
      <c r="F4" s="37"/>
      <c r="G4" s="5" t="s">
        <v>107</v>
      </c>
      <c r="H4" s="16">
        <f>0.15*0.3*409</f>
        <v>18.404999999999998</v>
      </c>
      <c r="I4" s="17">
        <f t="shared" ref="I4:I17" si="0">IF(H4="","",(IF($C$20&lt;25%,"n/a",IF(H4&lt;=($D$20+$A$20),H4,"Descartado"))))</f>
        <v>18.404999999999998</v>
      </c>
    </row>
    <row r="5" spans="1:9" x14ac:dyDescent="0.25">
      <c r="A5" s="38"/>
      <c r="B5" s="35"/>
      <c r="C5" s="36"/>
      <c r="D5" s="36"/>
      <c r="E5" s="37"/>
      <c r="F5" s="37"/>
      <c r="G5" s="5" t="s">
        <v>109</v>
      </c>
      <c r="H5" s="16">
        <v>40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110</v>
      </c>
      <c r="H6" s="16">
        <f>0.15*0.3*256.7</f>
        <v>11.551499999999999</v>
      </c>
      <c r="I6" s="17">
        <f t="shared" si="0"/>
        <v>11.551499999999999</v>
      </c>
    </row>
    <row r="7" spans="1:9" x14ac:dyDescent="0.25">
      <c r="A7" s="38"/>
      <c r="B7" s="35"/>
      <c r="C7" s="36"/>
      <c r="D7" s="36"/>
      <c r="E7" s="37"/>
      <c r="F7" s="37"/>
      <c r="G7" s="5" t="s">
        <v>114</v>
      </c>
      <c r="H7" s="16">
        <v>5.99</v>
      </c>
      <c r="I7" s="17">
        <f t="shared" si="0"/>
        <v>5.99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13.143178447392392</v>
      </c>
      <c r="B20" s="8">
        <f>COUNT(H3:H17)</f>
        <v>5</v>
      </c>
      <c r="C20" s="9">
        <f>IF(B20&lt;2,"n/a",(A20/D20))</f>
        <v>0.73548844137618308</v>
      </c>
      <c r="D20" s="10">
        <f>IFERROR(ROUND(AVERAGE(H3:H17),2),"")</f>
        <v>17.87</v>
      </c>
      <c r="E20" s="15">
        <f>IFERROR(ROUND(IF(B20&lt;2,"n/a",(IF(C20&lt;=25%,"n/a",AVERAGE(I3:I17)))),2),"n/a")</f>
        <v>12.34</v>
      </c>
      <c r="F20" s="10">
        <f>IFERROR(ROUND(MEDIAN(H3:H17),2),"")</f>
        <v>13.41</v>
      </c>
      <c r="G20" s="11" t="str">
        <f>IFERROR(INDEX(G3:G17,MATCH(H20,H3:H17,0)),"")</f>
        <v>RAQUEL CARDOSO DIAS PENHA</v>
      </c>
      <c r="H20" s="12">
        <f>F3</f>
        <v>5.99</v>
      </c>
    </row>
    <row r="22" spans="1:9" x14ac:dyDescent="0.25">
      <c r="G22" s="13" t="s">
        <v>20</v>
      </c>
      <c r="H22" s="14">
        <f>IF(C20&lt;=25%,D20,MIN(E20:F20))</f>
        <v>12.34</v>
      </c>
    </row>
    <row r="23" spans="1:9" x14ac:dyDescent="0.25">
      <c r="G23" s="13" t="s">
        <v>6</v>
      </c>
      <c r="H23" s="14">
        <f>ROUND(H22,2)*D3</f>
        <v>1234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4" sqref="H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4</v>
      </c>
      <c r="B3" s="34" t="s">
        <v>101</v>
      </c>
      <c r="C3" s="36" t="s">
        <v>7</v>
      </c>
      <c r="D3" s="36">
        <v>100</v>
      </c>
      <c r="E3" s="37">
        <f>IF(C20&lt;=25%,D20,MIN(E20:F20))</f>
        <v>57.82</v>
      </c>
      <c r="F3" s="37">
        <f>MIN(H3:H17)</f>
        <v>46.205999999999996</v>
      </c>
      <c r="G3" s="5" t="s">
        <v>106</v>
      </c>
      <c r="H3" s="16">
        <f>0.3*0.6*298</f>
        <v>53.64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107</v>
      </c>
      <c r="H4" s="16">
        <f>0.3*0.6*409</f>
        <v>73.61999999999999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110</v>
      </c>
      <c r="H5" s="16">
        <f>0.3*0.6*256.7</f>
        <v>46.205999999999996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14.177400749079505</v>
      </c>
      <c r="B20" s="8">
        <f>COUNT(H3:H17)</f>
        <v>3</v>
      </c>
      <c r="C20" s="9">
        <f>IF(B20&lt;2,"n/a",(A20/D20))</f>
        <v>0.24519890607193887</v>
      </c>
      <c r="D20" s="10">
        <f>IFERROR(ROUND(AVERAGE(H3:H17),2),"")</f>
        <v>57.82</v>
      </c>
      <c r="E20" s="15" t="str">
        <f>IFERROR(ROUND(IF(B20&lt;2,"n/a",(IF(C20&lt;=25%,"n/a",AVERAGE(I3:I17)))),2),"n/a")</f>
        <v>n/a</v>
      </c>
      <c r="F20" s="10">
        <f>IFERROR(ROUND(MEDIAN(H3:H17),2),"")</f>
        <v>53.64</v>
      </c>
      <c r="G20" s="11" t="str">
        <f>IFERROR(INDEX(G3:G17,MATCH(H20,H3:H17,0)),"")</f>
        <v>GRAFICA REAL PRINT LTDA</v>
      </c>
      <c r="H20" s="12">
        <f>F3</f>
        <v>46.205999999999996</v>
      </c>
    </row>
    <row r="22" spans="1:9" x14ac:dyDescent="0.25">
      <c r="G22" s="13" t="s">
        <v>20</v>
      </c>
      <c r="H22" s="14">
        <f>IF(C20&lt;=25%,D20,MIN(E20:F20))</f>
        <v>57.82</v>
      </c>
    </row>
    <row r="23" spans="1:9" x14ac:dyDescent="0.25">
      <c r="G23" s="13" t="s">
        <v>6</v>
      </c>
      <c r="H23" s="14">
        <f>ROUND(H22,2)*D3</f>
        <v>5782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5" sqref="G5: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5</v>
      </c>
      <c r="B3" s="34" t="s">
        <v>102</v>
      </c>
      <c r="C3" s="36" t="s">
        <v>7</v>
      </c>
      <c r="D3" s="36">
        <v>100</v>
      </c>
      <c r="E3" s="37">
        <f>IF(C20&lt;=25%,D20,MIN(E20:F20))</f>
        <v>192.74</v>
      </c>
      <c r="F3" s="37">
        <f>MIN(H3:H17)</f>
        <v>154.01999999999998</v>
      </c>
      <c r="G3" s="5" t="s">
        <v>106</v>
      </c>
      <c r="H3" s="16">
        <f>1*0.6*298</f>
        <v>178.79999999999998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107</v>
      </c>
      <c r="H4" s="16">
        <f>1*0.6*409</f>
        <v>245.39999999999998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110</v>
      </c>
      <c r="H5" s="16">
        <f>1*0.6*256.7</f>
        <v>154.01999999999998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47.258002496931681</v>
      </c>
      <c r="B20" s="8">
        <f>COUNT(H3:H17)</f>
        <v>3</v>
      </c>
      <c r="C20" s="9">
        <f>IF(B20&lt;2,"n/a",(A20/D20))</f>
        <v>0.24519042490884962</v>
      </c>
      <c r="D20" s="10">
        <f>IFERROR(ROUND(AVERAGE(H3:H17),2),"")</f>
        <v>192.74</v>
      </c>
      <c r="E20" s="15" t="str">
        <f>IFERROR(ROUND(IF(B20&lt;2,"n/a",(IF(C20&lt;=25%,"n/a",AVERAGE(I3:I17)))),2),"n/a")</f>
        <v>n/a</v>
      </c>
      <c r="F20" s="10">
        <f>IFERROR(ROUND(MEDIAN(H3:H17),2),"")</f>
        <v>178.8</v>
      </c>
      <c r="G20" s="11" t="str">
        <f>IFERROR(INDEX(G3:G17,MATCH(H20,H3:H17,0)),"")</f>
        <v>GRAFICA REAL PRINT LTDA</v>
      </c>
      <c r="H20" s="12">
        <f>F3</f>
        <v>154.01999999999998</v>
      </c>
    </row>
    <row r="22" spans="1:9" x14ac:dyDescent="0.25">
      <c r="G22" s="13" t="s">
        <v>20</v>
      </c>
      <c r="H22" s="14">
        <f>IF(C20&lt;=25%,D20,MIN(E20:F20))</f>
        <v>192.74</v>
      </c>
    </row>
    <row r="23" spans="1:9" x14ac:dyDescent="0.25">
      <c r="G23" s="13" t="s">
        <v>6</v>
      </c>
      <c r="H23" s="14">
        <f>ROUND(H22,2)*D3</f>
        <v>19274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6</v>
      </c>
      <c r="B3" s="34" t="s">
        <v>103</v>
      </c>
      <c r="C3" s="36" t="s">
        <v>7</v>
      </c>
      <c r="D3" s="36">
        <v>100</v>
      </c>
      <c r="E3" s="37">
        <f>IF(C20&lt;=25%,D20,MIN(E20:F20))</f>
        <v>10.06</v>
      </c>
      <c r="F3" s="37">
        <f>MIN(H3:H17)</f>
        <v>6.43</v>
      </c>
      <c r="G3" s="5" t="s">
        <v>108</v>
      </c>
      <c r="H3" s="16">
        <v>12.47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107</v>
      </c>
      <c r="H4" s="16">
        <v>10.5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111</v>
      </c>
      <c r="H5" s="16">
        <v>9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112</v>
      </c>
      <c r="H6" s="16">
        <v>11.88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115</v>
      </c>
      <c r="H7" s="16">
        <v>6.43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2.4297386690753346</v>
      </c>
      <c r="B20" s="8">
        <f>COUNT(H3:H17)</f>
        <v>5</v>
      </c>
      <c r="C20" s="9">
        <f>IF(B20&lt;2,"n/a",(A20/D20))</f>
        <v>0.2415247185959577</v>
      </c>
      <c r="D20" s="10">
        <f>IFERROR(ROUND(AVERAGE(H3:H17),2),"")</f>
        <v>10.06</v>
      </c>
      <c r="E20" s="15" t="str">
        <f>IFERROR(ROUND(IF(B20&lt;2,"n/a",(IF(C20&lt;=25%,"n/a",AVERAGE(I3:I17)))),2),"n/a")</f>
        <v>n/a</v>
      </c>
      <c r="F20" s="10">
        <f>IFERROR(ROUND(MEDIAN(H3:H17),2),"")</f>
        <v>10.5</v>
      </c>
      <c r="G20" s="11" t="str">
        <f>IFERROR(INDEX(G3:G17,MATCH(H20,H3:H17,0)),"")</f>
        <v>FGS COMERCIAL LTDA</v>
      </c>
      <c r="H20" s="12">
        <f>F3</f>
        <v>6.43</v>
      </c>
    </row>
    <row r="22" spans="1:9" x14ac:dyDescent="0.25">
      <c r="G22" s="13" t="s">
        <v>20</v>
      </c>
      <c r="H22" s="14">
        <f>IF(C20&lt;=25%,D20,MIN(E20:F20))</f>
        <v>10.06</v>
      </c>
    </row>
    <row r="23" spans="1:9" x14ac:dyDescent="0.25">
      <c r="G23" s="13" t="s">
        <v>6</v>
      </c>
      <c r="H23" s="14">
        <f>ROUND(H22,2)*D3</f>
        <v>1006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7</v>
      </c>
      <c r="B3" s="34" t="s">
        <v>104</v>
      </c>
      <c r="C3" s="36" t="s">
        <v>7</v>
      </c>
      <c r="D3" s="36">
        <v>100</v>
      </c>
      <c r="E3" s="37">
        <f>IF(C20&lt;=25%,D20,MIN(E20:F20))</f>
        <v>897.65</v>
      </c>
      <c r="F3" s="37">
        <f>MIN(H3:H17)</f>
        <v>772.5</v>
      </c>
      <c r="G3" s="5" t="s">
        <v>110</v>
      </c>
      <c r="H3" s="16">
        <f>2.06*0.75*662</f>
        <v>1022.79</v>
      </c>
      <c r="I3" s="17">
        <f>IF(H3="","",(IF($C$20&lt;25%,"n/a",IF(H3&lt;=($D$20+$A$20),H3,"Descartado"))))</f>
        <v>1022.79</v>
      </c>
    </row>
    <row r="4" spans="1:9" x14ac:dyDescent="0.25">
      <c r="A4" s="38"/>
      <c r="B4" s="35"/>
      <c r="C4" s="36"/>
      <c r="D4" s="36"/>
      <c r="E4" s="37"/>
      <c r="F4" s="37"/>
      <c r="G4" s="5" t="s">
        <v>113</v>
      </c>
      <c r="H4" s="16">
        <v>1400.24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116</v>
      </c>
      <c r="H5" s="16">
        <f>2.06*0.75*500</f>
        <v>772.5</v>
      </c>
      <c r="I5" s="17">
        <f t="shared" si="0"/>
        <v>772.5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316.00925466405783</v>
      </c>
      <c r="B20" s="8">
        <f>COUNT(H3:H17)</f>
        <v>3</v>
      </c>
      <c r="C20" s="9">
        <f>IF(B20&lt;2,"n/a",(A20/D20))</f>
        <v>0.29667216307483973</v>
      </c>
      <c r="D20" s="10">
        <f>IFERROR(ROUND(AVERAGE(H3:H17),2),"")</f>
        <v>1065.18</v>
      </c>
      <c r="E20" s="15">
        <f>IFERROR(ROUND(IF(B20&lt;2,"n/a",(IF(C20&lt;=25%,"n/a",AVERAGE(I3:I17)))),2),"n/a")</f>
        <v>897.65</v>
      </c>
      <c r="F20" s="10">
        <f>IFERROR(ROUND(MEDIAN(H3:H17),2),"")</f>
        <v>1022.79</v>
      </c>
      <c r="G20" s="11" t="str">
        <f>IFERROR(INDEX(G3:G17,MATCH(H20,H3:H17,0)),"")</f>
        <v xml:space="preserve">JUSTINO DAVINO PERES EPP </v>
      </c>
      <c r="H20" s="12">
        <f>F3</f>
        <v>772.5</v>
      </c>
    </row>
    <row r="22" spans="1:9" x14ac:dyDescent="0.25">
      <c r="G22" s="13" t="s">
        <v>20</v>
      </c>
      <c r="H22" s="14">
        <f>IF(C20&lt;=25%,D20,MIN(E20:F20))</f>
        <v>897.65</v>
      </c>
    </row>
    <row r="23" spans="1:9" x14ac:dyDescent="0.25">
      <c r="G23" s="13" t="s">
        <v>6</v>
      </c>
      <c r="H23" s="14">
        <f>ROUND(H22,2)*D3</f>
        <v>89765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8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9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28</vt:i4>
      </vt:variant>
      <vt:variant>
        <vt:lpstr>Intervalos nomeados</vt:lpstr>
      </vt:variant>
      <vt:variant>
        <vt:i4>2</vt:i4>
      </vt:variant>
    </vt:vector>
  </HeadingPairs>
  <TitlesOfParts>
    <vt:vector size="3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2024-01-17T18:55:53Z</cp:lastPrinted>
  <dcterms:created xsi:type="dcterms:W3CDTF">2023-11-07T17:10:34Z</dcterms:created>
  <dcterms:modified xsi:type="dcterms:W3CDTF">2025-09-12T13:47:31Z</dcterms:modified>
</cp:coreProperties>
</file>